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!На Сайт\Раскрытие Информации\teplo\2019\"/>
    </mc:Choice>
  </mc:AlternateContent>
  <bookViews>
    <workbookView xWindow="0" yWindow="0" windowWidth="21570" windowHeight="7815" activeTab="2"/>
  </bookViews>
  <sheets>
    <sheet name="Сыктывкар" sheetId="1" r:id="rId1"/>
    <sheet name="Ухта" sheetId="2" r:id="rId2"/>
    <sheet name="Усинск" sheetId="3" r:id="rId3"/>
  </sheets>
  <definedNames>
    <definedName name="_xlnm.Print_Area" localSheetId="2">Усинск!$A$1:$G$56</definedName>
  </definedNames>
  <calcPr calcId="162913"/>
</workbook>
</file>

<file path=xl/calcChain.xml><?xml version="1.0" encoding="utf-8"?>
<calcChain xmlns="http://schemas.openxmlformats.org/spreadsheetml/2006/main">
  <c r="G45" i="2" l="1"/>
  <c r="G45" i="1"/>
  <c r="D41" i="1"/>
  <c r="D42" i="1"/>
  <c r="D43" i="1"/>
  <c r="B39" i="1"/>
  <c r="D41" i="2"/>
  <c r="B39" i="2"/>
  <c r="C29" i="2"/>
  <c r="D29" i="2"/>
  <c r="C23" i="2"/>
  <c r="D23" i="2"/>
  <c r="D31" i="1"/>
  <c r="B40" i="1"/>
  <c r="C13" i="1"/>
  <c r="D13" i="1"/>
  <c r="D31" i="2"/>
  <c r="C27" i="1"/>
  <c r="D27" i="1"/>
  <c r="D12" i="1"/>
  <c r="F13" i="1"/>
  <c r="D12" i="2"/>
  <c r="B21" i="2"/>
  <c r="B65" i="2"/>
  <c r="B23" i="2"/>
  <c r="D42" i="2"/>
  <c r="D43" i="2"/>
  <c r="D33" i="3"/>
  <c r="B21" i="1"/>
  <c r="C21" i="1"/>
  <c r="D21" i="1"/>
  <c r="B25" i="1"/>
  <c r="C25" i="1"/>
  <c r="D25" i="1"/>
  <c r="B22" i="1"/>
  <c r="C22" i="1"/>
  <c r="D22" i="1"/>
  <c r="B27" i="1"/>
  <c r="B26" i="1"/>
  <c r="C26" i="1"/>
  <c r="D26" i="1"/>
  <c r="B24" i="1"/>
  <c r="C24" i="1"/>
  <c r="D24" i="1"/>
  <c r="B13" i="1"/>
  <c r="B25" i="2"/>
  <c r="C25" i="2"/>
  <c r="D25" i="2"/>
  <c r="B26" i="2"/>
  <c r="B27" i="2"/>
  <c r="B13" i="2"/>
  <c r="B66" i="2"/>
  <c r="B69" i="2"/>
  <c r="B23" i="3"/>
  <c r="C23" i="3"/>
  <c r="D23" i="3"/>
  <c r="B13" i="3"/>
  <c r="C13" i="3"/>
  <c r="D13" i="3"/>
  <c r="F13" i="3"/>
  <c r="G13" i="3"/>
  <c r="B79" i="3"/>
  <c r="B27" i="3"/>
  <c r="B28" i="3"/>
  <c r="C28" i="3"/>
  <c r="D28" i="3"/>
  <c r="B29" i="3"/>
  <c r="C29" i="3"/>
  <c r="D29" i="3"/>
  <c r="B31" i="3"/>
  <c r="C31" i="3"/>
  <c r="D31" i="3"/>
  <c r="D16" i="3"/>
  <c r="C16" i="3"/>
  <c r="D12" i="3"/>
  <c r="C27" i="3"/>
  <c r="D27" i="3"/>
  <c r="C24" i="3"/>
  <c r="D24" i="3"/>
  <c r="C21" i="3"/>
  <c r="D21" i="3"/>
  <c r="C20" i="3"/>
  <c r="D20" i="3"/>
  <c r="B19" i="3"/>
  <c r="C19" i="3"/>
  <c r="D19" i="3"/>
  <c r="B20" i="3"/>
  <c r="B26" i="3"/>
  <c r="B25" i="3"/>
  <c r="B24" i="3"/>
  <c r="B21" i="3"/>
  <c r="B18" i="3"/>
  <c r="B15" i="3"/>
  <c r="C15" i="3"/>
  <c r="D15" i="3"/>
  <c r="D47" i="3"/>
  <c r="D44" i="3"/>
  <c r="D45" i="3"/>
  <c r="C18" i="3"/>
  <c r="D18" i="3"/>
  <c r="B67" i="3"/>
  <c r="B68" i="3"/>
  <c r="C25" i="3"/>
  <c r="D25" i="3"/>
  <c r="B71" i="3"/>
  <c r="B74" i="3"/>
  <c r="C26" i="2"/>
  <c r="D26" i="2"/>
  <c r="C13" i="2"/>
  <c r="D13" i="2"/>
  <c r="G12" i="2"/>
  <c r="B17" i="3"/>
  <c r="C17" i="3"/>
  <c r="D17" i="3"/>
  <c r="B65" i="1"/>
  <c r="B66" i="1"/>
  <c r="C21" i="2"/>
  <c r="D21" i="2"/>
  <c r="B23" i="1"/>
  <c r="C23" i="1"/>
  <c r="D23" i="1"/>
</calcChain>
</file>

<file path=xl/sharedStrings.xml><?xml version="1.0" encoding="utf-8"?>
<sst xmlns="http://schemas.openxmlformats.org/spreadsheetml/2006/main" count="197" uniqueCount="81">
  <si>
    <t>Наименование организации</t>
  </si>
  <si>
    <t>АО "Комиавиатранс"</t>
  </si>
  <si>
    <t>ИНН</t>
  </si>
  <si>
    <t>КПП</t>
  </si>
  <si>
    <t>Местонахождение (адрес)</t>
  </si>
  <si>
    <t xml:space="preserve">г. Сыктывкар, ул. Советская, д.67  </t>
  </si>
  <si>
    <t>Отчетный период</t>
  </si>
  <si>
    <t>Наименование показателя</t>
  </si>
  <si>
    <t>Показатели</t>
  </si>
  <si>
    <t>Всего</t>
  </si>
  <si>
    <t>на 1 Гкал</t>
  </si>
  <si>
    <t>Сторонние</t>
  </si>
  <si>
    <t>а) Вид деятельности организации (производство, передача и сбыт тепловой энергии)</t>
  </si>
  <si>
    <t>передача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</si>
  <si>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</si>
  <si>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</si>
  <si>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</si>
  <si>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</si>
  <si>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</si>
  <si>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</si>
  <si>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</si>
  <si>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</si>
  <si>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</si>
  <si>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</si>
  <si>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</si>
  <si>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</si>
  <si>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</si>
  <si>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</si>
  <si>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</si>
  <si>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</si>
  <si>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</si>
  <si>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</si>
  <si>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</si>
  <si>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</si>
  <si>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</si>
  <si>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</si>
  <si>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</si>
  <si>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</si>
  <si>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Объем тепловой энергии (общий), тыс. Гкал</t>
  </si>
  <si>
    <t>л) Объем покупаемой  тепловой энергии (тыс. Гкал)</t>
  </si>
  <si>
    <t>Объем тепловой энергии (для сторонних потребителей), тыс. Гкал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</si>
  <si>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</si>
  <si>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</si>
  <si>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</si>
  <si>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</si>
  <si>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</si>
  <si>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</si>
  <si>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</si>
  <si>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</si>
  <si>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</si>
  <si>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</si>
  <si>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</si>
  <si>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</si>
  <si>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</si>
  <si>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</si>
  <si>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</si>
  <si>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</si>
  <si>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</si>
  <si>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  <charset val="204"/>
      </rPr>
      <t>3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</si>
  <si>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</si>
  <si>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Филиал АО "Комиавиатранс" "Аэропорт Ухта"</t>
  </si>
  <si>
    <t xml:space="preserve">г. Ухта, ул. Авиационная, д.18  </t>
  </si>
  <si>
    <t>Показатель</t>
  </si>
  <si>
    <t>производство тепловой энергии</t>
  </si>
  <si>
    <t>в) Себестоимость производимых товаров (оказываемых услуг) по регулируемому виду деятельности для сторонних потребителей (тыс. рублей):</t>
  </si>
  <si>
    <t xml:space="preserve">       на нужды предприятия</t>
  </si>
  <si>
    <t xml:space="preserve">       Объем тепловой энергии, отпускаемой сторонним потребителям (тыс. Гкал), в том числе: </t>
  </si>
  <si>
    <t>1.699 * 2  = 3.398</t>
  </si>
  <si>
    <t>т) Количество тепловых котлов (штук)  / пунктов (штук)</t>
  </si>
  <si>
    <t xml:space="preserve"> Информация об  основных показателях финансово-хозяйственной деятельности организации</t>
  </si>
  <si>
    <t>110101001 (аэропорт Усинск  110643001)</t>
  </si>
  <si>
    <t>2,598 (1,299*2)</t>
  </si>
  <si>
    <t>(1,506*2)</t>
  </si>
  <si>
    <t>3,012 (1,506*2)</t>
  </si>
  <si>
    <t>Проверка</t>
  </si>
  <si>
    <t>расходы на топливо всего</t>
  </si>
  <si>
    <t>газ, объем  тыс. куб.м.</t>
  </si>
  <si>
    <t>стоимость за 1, тыс. руб. / на 1</t>
  </si>
  <si>
    <t>Факт за 2019 год</t>
  </si>
  <si>
    <t>Факт за 2019год</t>
  </si>
  <si>
    <t xml:space="preserve">г. Усинск, Аэропорт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</si>
</sst>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3" formatCode="_-* #,##0.00_р_._-;\-* #,##0.00_р_._-;_-* &quot;-&quot;??_р_._-;_-@_-"/>
    <numFmt numFmtId="174" formatCode="0.0"/>
    <numFmt numFmtId="175" formatCode="0.000"/>
    <numFmt numFmtId="176" formatCode="0.0%"/>
    <numFmt numFmtId="177" formatCode="#,##0.0"/>
    <numFmt numFmtId="178" formatCode="#,##0.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12"/>
      <name val="Calibri"/>
      <family val="2"/>
      <charset val="204"/>
    </font>
    <font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4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vertical="top" wrapText="1" indent="2"/>
    </xf>
    <xf numFmtId="4" fontId="9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vertical="top" wrapText="1" indent="6"/>
    </xf>
    <xf numFmtId="0" fontId="0" fillId="0" borderId="1" xfId="0" applyFill="1" applyBorder="1" applyAlignment="1">
      <alignment horizontal="left" vertical="top" wrapText="1" indent="7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5" fontId="0" fillId="0" borderId="1" xfId="0" applyNumberForma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176" fontId="11" fillId="0" borderId="1" xfId="1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75" fontId="0" fillId="2" borderId="1" xfId="0" applyNumberFormat="1" applyFill="1" applyBorder="1" applyAlignment="1">
      <alignment horizontal="center"/>
    </xf>
    <xf numFmtId="177" fontId="9" fillId="2" borderId="1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178" fontId="3" fillId="0" borderId="1" xfId="0" applyNumberFormat="1" applyFont="1" applyFill="1" applyBorder="1" applyAlignment="1">
      <alignment horizontal="center"/>
    </xf>
    <xf numFmtId="178" fontId="9" fillId="0" borderId="1" xfId="0" applyNumberFormat="1" applyFont="1" applyFill="1" applyBorder="1" applyAlignment="1">
      <alignment horizontal="center"/>
    </xf>
    <xf numFmtId="173" fontId="10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178" fontId="7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176" fontId="5" fillId="0" borderId="1" xfId="1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77" fontId="1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178" fontId="10" fillId="0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74" fontId="12" fillId="2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74" fontId="12" fillId="0" borderId="1" xfId="0" applyNumberFormat="1" applyFont="1" applyFill="1" applyBorder="1" applyAlignment="1">
      <alignment horizontal="center"/>
    </xf>
    <xf numFmtId="4" fontId="0" fillId="0" borderId="0" xfId="0" applyNumberFormat="1"/>
    <xf numFmtId="2" fontId="12" fillId="2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173" fontId="10" fillId="0" borderId="1" xfId="0" applyNumberFormat="1" applyFont="1" applyFill="1" applyBorder="1" applyAlignment="1">
      <alignment horizontal="center"/>
    </xf>
    <xf numFmtId="175" fontId="8" fillId="0" borderId="1" xfId="0" applyNumberFormat="1" applyFont="1" applyFill="1" applyBorder="1" applyAlignment="1">
      <alignment horizontal="center"/>
    </xf>
    <xf numFmtId="176" fontId="12" fillId="0" borderId="1" xfId="1" applyNumberFormat="1" applyFont="1" applyFill="1" applyBorder="1" applyAlignment="1">
      <alignment horizontal="center"/>
    </xf>
    <xf numFmtId="175" fontId="1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center" wrapText="1"/>
    </xf>
    <xf numFmtId="176" fontId="11" fillId="3" borderId="1" xfId="1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 indent="2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77" fontId="5" fillId="0" borderId="2" xfId="0" applyNumberFormat="1" applyFont="1" applyFill="1" applyBorder="1" applyAlignment="1">
      <alignment horizontal="center"/>
    </xf>
    <xf numFmtId="177" fontId="5" fillId="0" borderId="3" xfId="0" applyNumberFormat="1" applyFont="1" applyFill="1" applyBorder="1" applyAlignment="1">
      <alignment horizontal="center"/>
    </xf>
    <xf numFmtId="177" fontId="5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zoomScaleNormal="100" workbookViewId="0">
      <selection activeCell="B46" sqref="B46"/>
    </sheetView>
  </sheetViews>
  <sheetFormatPr defaultRowHeight="15" x14ac:dyDescent="0.25"/>
  <cols>
    <col min="1" max="1" width="41.7109375" customWidth="1"/>
    <col min="2" max="2" width="17" customWidth="1"/>
    <col min="3" max="3" width="18.42578125" customWidth="1"/>
    <col min="4" max="4" width="20.5703125" customWidth="1"/>
  </cols>
  <sheetData>
    <row r="1" spans="1:6" ht="40.5" customHeight="1" x14ac:dyDescent="0.25">
      <c r="A1" s="63" t="s">
        <v>69</v>
      </c>
      <c r="B1" s="63"/>
      <c r="C1" s="63"/>
      <c r="D1" s="64"/>
    </row>
    <row r="3" spans="1:6" x14ac:dyDescent="0.25">
      <c r="A3" s="2" t="s">
        <v>0</v>
      </c>
      <c r="B3" s="73" t="s">
        <v>1</v>
      </c>
      <c r="C3" s="74"/>
      <c r="D3" s="75"/>
    </row>
    <row r="4" spans="1:6" x14ac:dyDescent="0.25">
      <c r="A4" s="2" t="s">
        <v>2</v>
      </c>
      <c r="B4" s="73">
        <v>1101141183</v>
      </c>
      <c r="C4" s="74"/>
      <c r="D4" s="75"/>
    </row>
    <row r="5" spans="1:6" x14ac:dyDescent="0.25">
      <c r="A5" s="2" t="s">
        <v>3</v>
      </c>
      <c r="B5" s="73">
        <v>110145001</v>
      </c>
      <c r="C5" s="74"/>
      <c r="D5" s="75"/>
    </row>
    <row r="6" spans="1:6" x14ac:dyDescent="0.25">
      <c r="A6" s="2" t="s">
        <v>4</v>
      </c>
      <c r="B6" s="73" t="s">
        <v>5</v>
      </c>
      <c r="C6" s="74"/>
      <c r="D6" s="75"/>
    </row>
    <row r="7" spans="1:6" x14ac:dyDescent="0.25">
      <c r="A7" s="2" t="s">
        <v>6</v>
      </c>
      <c r="B7" s="73" t="s">
        <v>79</v>
      </c>
      <c r="C7" s="74"/>
      <c r="D7" s="75"/>
    </row>
    <row r="9" spans="1:6" x14ac:dyDescent="0.25">
      <c r="A9" s="71" t="s">
        <v>7</v>
      </c>
      <c r="B9" s="68" t="s">
        <v>8</v>
      </c>
      <c r="C9" s="69"/>
      <c r="D9" s="70"/>
    </row>
    <row r="10" spans="1:6" x14ac:dyDescent="0.25">
      <c r="A10" s="72"/>
      <c r="B10" s="13" t="s">
        <v>9</v>
      </c>
      <c r="C10" s="13" t="s">
        <v>10</v>
      </c>
      <c r="D10" s="13" t="s">
        <v>11</v>
      </c>
    </row>
    <row r="11" spans="1:6" ht="49.5" customHeight="1" x14ac:dyDescent="0.25">
      <c r="A11" s="6" t="s">
        <v>12</v>
      </c>
      <c r="B11" s="65" t="s">
        <v>13</v>
      </c>
      <c r="C11" s="66"/>
      <c r="D11" s="67"/>
    </row>
    <row r="12" spans="1:6" ht="24.75" customHeight="1" x14ac:dyDescent="0.25">
      <c r="A12" s="6" t="s">
        <v>14</v>
      </c>
      <c r="B12" s="12"/>
      <c r="C12" s="12"/>
      <c r="D12" s="7">
        <f>201122.47/1000</f>
        <v>201.12246999999999</v>
      </c>
    </row>
    <row r="13" spans="1:6" ht="51.75" customHeight="1" x14ac:dyDescent="0.25">
      <c r="A13" s="6" t="s">
        <v>15</v>
      </c>
      <c r="B13" s="4">
        <f>(1988657.12+820157.49)/1000</f>
        <v>2808.8146100000004</v>
      </c>
      <c r="C13" s="4">
        <f>B13/$B$40</f>
        <v>652.00300697914429</v>
      </c>
      <c r="D13" s="4">
        <f>C13*$D$41</f>
        <v>376.15879081046376</v>
      </c>
      <c r="F13" s="44">
        <f>D12-D13</f>
        <v>-175.03632081046376</v>
      </c>
    </row>
    <row r="14" spans="1:6" ht="30" customHeight="1" x14ac:dyDescent="0.25">
      <c r="A14" s="8" t="s">
        <v>16</v>
      </c>
      <c r="B14" s="4"/>
      <c r="C14" s="4"/>
      <c r="D14" s="4"/>
    </row>
    <row r="15" spans="1:6" ht="27" customHeight="1" x14ac:dyDescent="0.25">
      <c r="A15" s="8" t="s">
        <v>17</v>
      </c>
      <c r="B15" s="12"/>
      <c r="C15" s="12"/>
      <c r="D15" s="4"/>
    </row>
    <row r="16" spans="1:6" ht="63.75" customHeight="1" x14ac:dyDescent="0.25">
      <c r="A16" s="8" t="s">
        <v>18</v>
      </c>
      <c r="B16" s="9"/>
      <c r="C16" s="4"/>
      <c r="D16" s="4"/>
    </row>
    <row r="17" spans="1:4" ht="28.5" customHeight="1" x14ac:dyDescent="0.25">
      <c r="A17" s="10" t="s">
        <v>19</v>
      </c>
      <c r="B17" s="16"/>
      <c r="C17" s="16"/>
      <c r="D17" s="17"/>
    </row>
    <row r="18" spans="1:4" ht="18" customHeight="1" x14ac:dyDescent="0.25">
      <c r="A18" s="10" t="s">
        <v>20</v>
      </c>
      <c r="B18" s="20"/>
      <c r="C18" s="20"/>
      <c r="D18" s="21"/>
    </row>
    <row r="19" spans="1:4" ht="45.75" customHeight="1" x14ac:dyDescent="0.25">
      <c r="A19" s="8" t="s">
        <v>21</v>
      </c>
      <c r="B19" s="9"/>
      <c r="C19" s="9"/>
      <c r="D19" s="14"/>
    </row>
    <row r="20" spans="1:4" ht="28.5" customHeight="1" x14ac:dyDescent="0.25">
      <c r="A20" s="8" t="s">
        <v>22</v>
      </c>
      <c r="B20" s="9"/>
      <c r="C20" s="9"/>
      <c r="D20" s="14"/>
    </row>
    <row r="21" spans="1:4" ht="51" customHeight="1" x14ac:dyDescent="0.25">
      <c r="A21" s="8" t="s">
        <v>23</v>
      </c>
      <c r="B21" s="9">
        <f>(417051.98+58660.69)/1000*1.3135-0.05</f>
        <v>624.79859204499996</v>
      </c>
      <c r="C21" s="4">
        <f t="shared" ref="C21:C27" si="0">B21/$B$40</f>
        <v>145.03291150627973</v>
      </c>
      <c r="D21" s="4">
        <f t="shared" ref="D21:D27" si="1">C21*$D$41</f>
        <v>83.673547569494957</v>
      </c>
    </row>
    <row r="22" spans="1:4" ht="61.5" customHeight="1" x14ac:dyDescent="0.25">
      <c r="A22" s="8" t="s">
        <v>24</v>
      </c>
      <c r="B22" s="9">
        <f>111475.45/1000+389188.73/1000</f>
        <v>500.66417999999999</v>
      </c>
      <c r="C22" s="4">
        <f t="shared" si="0"/>
        <v>116.21790547676891</v>
      </c>
      <c r="D22" s="4">
        <f t="shared" si="1"/>
        <v>67.049363770901337</v>
      </c>
    </row>
    <row r="23" spans="1:4" ht="35.25" customHeight="1" x14ac:dyDescent="0.25">
      <c r="A23" s="8" t="s">
        <v>25</v>
      </c>
      <c r="B23" s="9">
        <f>B24+16181.9/1000+11798.03/1000+57464.99/1000</f>
        <v>452.41948179999991</v>
      </c>
      <c r="C23" s="4">
        <f t="shared" si="0"/>
        <v>105.01898612295604</v>
      </c>
      <c r="D23" s="4">
        <f t="shared" si="1"/>
        <v>60.588393625944782</v>
      </c>
    </row>
    <row r="24" spans="1:4" ht="30" customHeight="1" x14ac:dyDescent="0.25">
      <c r="A24" s="11" t="s">
        <v>26</v>
      </c>
      <c r="B24" s="9">
        <f>(244935.29+34451.51)/1000*1.3135</f>
        <v>366.97456179999995</v>
      </c>
      <c r="C24" s="4">
        <f t="shared" si="0"/>
        <v>85.184873692484018</v>
      </c>
      <c r="D24" s="4">
        <f t="shared" si="1"/>
        <v>49.145538809657417</v>
      </c>
    </row>
    <row r="25" spans="1:4" ht="31.5" customHeight="1" x14ac:dyDescent="0.25">
      <c r="A25" s="8" t="s">
        <v>27</v>
      </c>
      <c r="B25" s="9">
        <f>B26+157552.63/1000+214384.88/1000+1719.9/1000+500000/1000+14900.21/1000+36395.07/1000</f>
        <v>1082.3278300000002</v>
      </c>
      <c r="C25" s="4">
        <f t="shared" si="0"/>
        <v>251.2380123575376</v>
      </c>
      <c r="D25" s="4">
        <f t="shared" si="1"/>
        <v>144.94624399340944</v>
      </c>
    </row>
    <row r="26" spans="1:4" ht="36" customHeight="1" x14ac:dyDescent="0.25">
      <c r="A26" s="11" t="s">
        <v>28</v>
      </c>
      <c r="B26" s="9">
        <f>(51995+16227.64+67946.42+21206.08)/1000</f>
        <v>157.37514000000002</v>
      </c>
      <c r="C26" s="4">
        <f t="shared" si="0"/>
        <v>36.53109184865847</v>
      </c>
      <c r="D26" s="4">
        <f t="shared" si="1"/>
        <v>21.075809758062835</v>
      </c>
    </row>
    <row r="27" spans="1:4" x14ac:dyDescent="0.25">
      <c r="A27" s="61" t="s">
        <v>29</v>
      </c>
      <c r="B27" s="9">
        <f>148599.8/1000</f>
        <v>148.59979999999999</v>
      </c>
      <c r="C27" s="4">
        <f t="shared" si="0"/>
        <v>34.49409444523625</v>
      </c>
      <c r="D27" s="4">
        <f t="shared" si="1"/>
        <v>19.900608920101259</v>
      </c>
    </row>
    <row r="28" spans="1:4" ht="35.25" customHeight="1" x14ac:dyDescent="0.25">
      <c r="A28" s="61"/>
      <c r="B28" s="57"/>
      <c r="C28" s="58"/>
      <c r="D28" s="59"/>
    </row>
    <row r="29" spans="1:4" ht="80.25" customHeight="1" x14ac:dyDescent="0.25">
      <c r="A29" s="8" t="s">
        <v>58</v>
      </c>
      <c r="B29" s="9"/>
      <c r="C29" s="4"/>
      <c r="D29" s="4"/>
    </row>
    <row r="30" spans="1:4" ht="32.25" customHeight="1" x14ac:dyDescent="0.25">
      <c r="A30" s="6" t="s">
        <v>30</v>
      </c>
      <c r="B30" s="9"/>
      <c r="C30" s="4"/>
      <c r="D30" s="4">
        <v>-175.04</v>
      </c>
    </row>
    <row r="31" spans="1:4" ht="33" customHeight="1" x14ac:dyDescent="0.25">
      <c r="A31" s="6" t="s">
        <v>31</v>
      </c>
      <c r="B31" s="9"/>
      <c r="C31" s="4"/>
      <c r="D31" s="4">
        <f>D30</f>
        <v>-175.04</v>
      </c>
    </row>
    <row r="32" spans="1:4" ht="91.5" customHeight="1" x14ac:dyDescent="0.25">
      <c r="A32" s="8" t="s">
        <v>32</v>
      </c>
      <c r="B32" s="9"/>
      <c r="C32" s="9"/>
      <c r="D32" s="14"/>
    </row>
    <row r="33" spans="1:7" ht="34.5" customHeight="1" x14ac:dyDescent="0.25">
      <c r="A33" s="6" t="s">
        <v>33</v>
      </c>
      <c r="B33" s="9"/>
      <c r="C33" s="9"/>
      <c r="D33" s="14"/>
    </row>
    <row r="34" spans="1:7" ht="37.5" customHeight="1" x14ac:dyDescent="0.25">
      <c r="A34" s="8" t="s">
        <v>34</v>
      </c>
      <c r="B34" s="9"/>
      <c r="C34" s="9"/>
      <c r="D34" s="14"/>
    </row>
    <row r="35" spans="1:7" ht="47.25" customHeight="1" x14ac:dyDescent="0.25">
      <c r="A35" s="6" t="s">
        <v>59</v>
      </c>
      <c r="B35" s="9"/>
      <c r="C35" s="9"/>
      <c r="D35" s="14"/>
    </row>
    <row r="36" spans="1:7" ht="39.75" customHeight="1" x14ac:dyDescent="0.25">
      <c r="A36" s="6" t="s">
        <v>35</v>
      </c>
      <c r="B36" s="9"/>
      <c r="C36" s="9"/>
      <c r="D36" s="14"/>
    </row>
    <row r="37" spans="1:7" ht="25.5" customHeight="1" x14ac:dyDescent="0.25">
      <c r="A37" s="6" t="s">
        <v>36</v>
      </c>
      <c r="B37" s="9"/>
      <c r="C37" s="9"/>
      <c r="D37" s="14"/>
    </row>
    <row r="38" spans="1:7" ht="36.75" customHeight="1" x14ac:dyDescent="0.25">
      <c r="A38" s="6" t="s">
        <v>37</v>
      </c>
      <c r="B38" s="9"/>
      <c r="C38" s="9"/>
      <c r="D38" s="14"/>
    </row>
    <row r="39" spans="1:7" ht="29.25" customHeight="1" x14ac:dyDescent="0.25">
      <c r="A39" s="6" t="s">
        <v>38</v>
      </c>
      <c r="B39" s="15">
        <f>(3731.05+576.928)/1000</f>
        <v>4.3079780000000003</v>
      </c>
      <c r="C39" s="9"/>
      <c r="D39" s="14"/>
    </row>
    <row r="40" spans="1:7" ht="36" customHeight="1" x14ac:dyDescent="0.25">
      <c r="A40" s="6" t="s">
        <v>39</v>
      </c>
      <c r="B40" s="15">
        <f>B39</f>
        <v>4.3079780000000003</v>
      </c>
      <c r="C40" s="15"/>
      <c r="D40" s="15"/>
    </row>
    <row r="41" spans="1:7" ht="33" customHeight="1" x14ac:dyDescent="0.25">
      <c r="A41" s="6" t="s">
        <v>40</v>
      </c>
      <c r="B41" s="15"/>
      <c r="C41" s="15"/>
      <c r="D41" s="15">
        <f>576.928/1000</f>
        <v>0.576928</v>
      </c>
    </row>
    <row r="42" spans="1:7" ht="37.5" customHeight="1" x14ac:dyDescent="0.25">
      <c r="A42" s="6" t="s">
        <v>41</v>
      </c>
      <c r="B42" s="15"/>
      <c r="C42" s="15"/>
      <c r="D42" s="15">
        <f>D41</f>
        <v>0.576928</v>
      </c>
    </row>
    <row r="43" spans="1:7" ht="30" customHeight="1" x14ac:dyDescent="0.25">
      <c r="A43" s="8" t="s">
        <v>42</v>
      </c>
      <c r="B43" s="15"/>
      <c r="C43" s="15"/>
      <c r="D43" s="15">
        <f>D42</f>
        <v>0.576928</v>
      </c>
    </row>
    <row r="44" spans="1:7" ht="28.5" customHeight="1" x14ac:dyDescent="0.25">
      <c r="A44" s="8" t="s">
        <v>43</v>
      </c>
      <c r="B44" s="15"/>
      <c r="C44" s="15"/>
      <c r="D44" s="15"/>
    </row>
    <row r="45" spans="1:7" ht="48" customHeight="1" x14ac:dyDescent="0.25">
      <c r="A45" s="6" t="s">
        <v>44</v>
      </c>
      <c r="B45" s="56">
        <v>5.2499999999999998E-2</v>
      </c>
      <c r="C45" s="3"/>
      <c r="D45" s="18"/>
      <c r="G45">
        <f>226.32/4307.978*100</f>
        <v>5.2535087226536437</v>
      </c>
    </row>
    <row r="46" spans="1:7" ht="45" customHeight="1" x14ac:dyDescent="0.25">
      <c r="A46" s="6" t="s">
        <v>45</v>
      </c>
      <c r="B46" s="19">
        <v>0</v>
      </c>
      <c r="C46" s="19"/>
      <c r="D46" s="19">
        <v>0</v>
      </c>
    </row>
    <row r="47" spans="1:7" ht="37.5" customHeight="1" x14ac:dyDescent="0.25">
      <c r="A47" s="6" t="s">
        <v>46</v>
      </c>
      <c r="B47" s="42" t="s">
        <v>71</v>
      </c>
      <c r="C47" s="42"/>
      <c r="D47" s="42" t="s">
        <v>71</v>
      </c>
    </row>
    <row r="48" spans="1:7" ht="28.5" customHeight="1" x14ac:dyDescent="0.25">
      <c r="A48" s="6" t="s">
        <v>47</v>
      </c>
      <c r="B48" s="19">
        <v>0</v>
      </c>
      <c r="C48" s="19"/>
      <c r="D48" s="19">
        <v>0</v>
      </c>
    </row>
    <row r="49" spans="1:4" ht="35.25" customHeight="1" x14ac:dyDescent="0.25">
      <c r="A49" s="6" t="s">
        <v>48</v>
      </c>
      <c r="B49" s="19">
        <v>0</v>
      </c>
      <c r="C49" s="19"/>
      <c r="D49" s="19">
        <v>0</v>
      </c>
    </row>
    <row r="50" spans="1:4" ht="23.25" customHeight="1" x14ac:dyDescent="0.25">
      <c r="A50" s="6" t="s">
        <v>49</v>
      </c>
      <c r="B50" s="36">
        <v>13</v>
      </c>
      <c r="C50" s="19"/>
      <c r="D50" s="36">
        <v>13</v>
      </c>
    </row>
    <row r="51" spans="1:4" ht="33" customHeight="1" x14ac:dyDescent="0.25">
      <c r="A51" s="6" t="s">
        <v>50</v>
      </c>
      <c r="B51" s="46">
        <v>1.7</v>
      </c>
      <c r="C51" s="42"/>
      <c r="D51" s="46">
        <v>1.7</v>
      </c>
    </row>
    <row r="52" spans="1:4" ht="46.5" customHeight="1" x14ac:dyDescent="0.25">
      <c r="A52" s="6" t="s">
        <v>51</v>
      </c>
      <c r="B52" s="19">
        <v>0</v>
      </c>
      <c r="C52" s="19"/>
      <c r="D52" s="19">
        <v>0</v>
      </c>
    </row>
    <row r="53" spans="1:4" ht="42.75" customHeight="1" x14ac:dyDescent="0.25">
      <c r="A53" s="6" t="s">
        <v>52</v>
      </c>
      <c r="B53" s="19">
        <v>0</v>
      </c>
      <c r="C53" s="19"/>
      <c r="D53" s="19">
        <v>0</v>
      </c>
    </row>
    <row r="54" spans="1:4" ht="48" customHeight="1" x14ac:dyDescent="0.25">
      <c r="A54" s="6" t="s">
        <v>53</v>
      </c>
      <c r="B54" s="19">
        <v>0</v>
      </c>
      <c r="C54" s="19"/>
      <c r="D54" s="19">
        <v>0</v>
      </c>
    </row>
    <row r="57" spans="1:4" x14ac:dyDescent="0.25">
      <c r="A57" s="60" t="s">
        <v>54</v>
      </c>
      <c r="B57" s="60"/>
      <c r="C57" s="60"/>
      <c r="D57" s="60"/>
    </row>
    <row r="58" spans="1:4" x14ac:dyDescent="0.25">
      <c r="A58" s="62" t="s">
        <v>55</v>
      </c>
      <c r="B58" s="62"/>
      <c r="C58" s="62"/>
      <c r="D58" s="62"/>
    </row>
    <row r="59" spans="1:4" x14ac:dyDescent="0.25">
      <c r="A59" s="60" t="s">
        <v>56</v>
      </c>
      <c r="B59" s="60"/>
      <c r="C59" s="60"/>
      <c r="D59" s="60"/>
    </row>
    <row r="60" spans="1:4" x14ac:dyDescent="0.25">
      <c r="A60" s="60" t="s">
        <v>57</v>
      </c>
      <c r="B60" s="60"/>
      <c r="C60" s="60"/>
      <c r="D60" s="60"/>
    </row>
    <row r="65" spans="1:2" x14ac:dyDescent="0.25">
      <c r="A65" t="s">
        <v>74</v>
      </c>
      <c r="B65" s="44">
        <f>B14+B16+B21+B22+B23+B25+B27+B29</f>
        <v>2808.8098838449996</v>
      </c>
    </row>
    <row r="66" spans="1:2" x14ac:dyDescent="0.25">
      <c r="B66" s="44">
        <f>B13-B65</f>
        <v>4.7261550007533515E-3</v>
      </c>
    </row>
  </sheetData>
  <mergeCells count="15">
    <mergeCell ref="A1:D1"/>
    <mergeCell ref="B11:D11"/>
    <mergeCell ref="B9:D9"/>
    <mergeCell ref="A9:A10"/>
    <mergeCell ref="B3:D3"/>
    <mergeCell ref="B4:D4"/>
    <mergeCell ref="B5:D5"/>
    <mergeCell ref="B6:D6"/>
    <mergeCell ref="B7:D7"/>
    <mergeCell ref="B28:D28"/>
    <mergeCell ref="A60:D60"/>
    <mergeCell ref="A59:D59"/>
    <mergeCell ref="A27:A28"/>
    <mergeCell ref="A57:D57"/>
    <mergeCell ref="A58:D5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fitToHeight="1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B46" sqref="B46"/>
    </sheetView>
  </sheetViews>
  <sheetFormatPr defaultRowHeight="15" x14ac:dyDescent="0.25"/>
  <cols>
    <col min="1" max="1" width="40.140625" customWidth="1"/>
    <col min="2" max="2" width="19.5703125" customWidth="1"/>
    <col min="3" max="3" width="19" customWidth="1"/>
    <col min="4" max="4" width="21.85546875" customWidth="1"/>
  </cols>
  <sheetData>
    <row r="1" spans="1:7" ht="15.75" x14ac:dyDescent="0.25">
      <c r="A1" s="63" t="s">
        <v>69</v>
      </c>
      <c r="B1" s="63"/>
      <c r="C1" s="63"/>
      <c r="D1" s="64"/>
    </row>
    <row r="2" spans="1:7" x14ac:dyDescent="0.25">
      <c r="A2" s="1"/>
      <c r="B2" s="5"/>
      <c r="C2" s="5"/>
      <c r="D2" s="5"/>
    </row>
    <row r="3" spans="1:7" x14ac:dyDescent="0.25">
      <c r="A3" s="2" t="s">
        <v>0</v>
      </c>
      <c r="B3" s="73" t="s">
        <v>60</v>
      </c>
      <c r="C3" s="74"/>
      <c r="D3" s="75"/>
    </row>
    <row r="4" spans="1:7" x14ac:dyDescent="0.25">
      <c r="A4" s="2" t="s">
        <v>2</v>
      </c>
      <c r="B4" s="73">
        <v>1101141183</v>
      </c>
      <c r="C4" s="74"/>
      <c r="D4" s="75"/>
    </row>
    <row r="5" spans="1:7" x14ac:dyDescent="0.25">
      <c r="A5" s="2" t="s">
        <v>3</v>
      </c>
      <c r="B5" s="73">
        <v>110243001</v>
      </c>
      <c r="C5" s="74"/>
      <c r="D5" s="75"/>
    </row>
    <row r="6" spans="1:7" x14ac:dyDescent="0.25">
      <c r="A6" s="2" t="s">
        <v>4</v>
      </c>
      <c r="B6" s="73" t="s">
        <v>61</v>
      </c>
      <c r="C6" s="74"/>
      <c r="D6" s="75"/>
    </row>
    <row r="7" spans="1:7" x14ac:dyDescent="0.25">
      <c r="A7" s="2" t="s">
        <v>6</v>
      </c>
      <c r="B7" s="73" t="s">
        <v>78</v>
      </c>
      <c r="C7" s="74"/>
      <c r="D7" s="75"/>
    </row>
    <row r="8" spans="1:7" x14ac:dyDescent="0.25">
      <c r="A8" s="1"/>
      <c r="B8" s="5"/>
      <c r="C8" s="5"/>
      <c r="D8" s="5"/>
    </row>
    <row r="9" spans="1:7" x14ac:dyDescent="0.25">
      <c r="A9" s="71" t="s">
        <v>7</v>
      </c>
      <c r="B9" s="68" t="s">
        <v>8</v>
      </c>
      <c r="C9" s="69"/>
      <c r="D9" s="70"/>
    </row>
    <row r="10" spans="1:7" x14ac:dyDescent="0.25">
      <c r="A10" s="72"/>
      <c r="B10" s="13" t="s">
        <v>9</v>
      </c>
      <c r="C10" s="13" t="s">
        <v>10</v>
      </c>
      <c r="D10" s="13" t="s">
        <v>11</v>
      </c>
    </row>
    <row r="11" spans="1:7" ht="42.75" customHeight="1" x14ac:dyDescent="0.25">
      <c r="A11" s="6" t="s">
        <v>12</v>
      </c>
      <c r="B11" s="65" t="s">
        <v>13</v>
      </c>
      <c r="C11" s="66"/>
      <c r="D11" s="67"/>
    </row>
    <row r="12" spans="1:7" ht="24" customHeight="1" x14ac:dyDescent="0.25">
      <c r="A12" s="6" t="s">
        <v>14</v>
      </c>
      <c r="B12" s="54"/>
      <c r="C12" s="12"/>
      <c r="D12" s="7">
        <f>149698.7/1000</f>
        <v>149.6987</v>
      </c>
      <c r="G12" s="44">
        <f>D12-D13</f>
        <v>50.086478778579163</v>
      </c>
    </row>
    <row r="13" spans="1:7" ht="47.25" customHeight="1" x14ac:dyDescent="0.25">
      <c r="A13" s="6" t="s">
        <v>15</v>
      </c>
      <c r="B13" s="4">
        <f>756441.2/1000</f>
        <v>756.44119999999998</v>
      </c>
      <c r="C13" s="4">
        <f>B13/$B$39</f>
        <v>168.18292075845386</v>
      </c>
      <c r="D13" s="4">
        <f>C13*$D$41</f>
        <v>99.612221221420839</v>
      </c>
    </row>
    <row r="14" spans="1:7" ht="29.25" customHeight="1" x14ac:dyDescent="0.25">
      <c r="A14" s="8" t="s">
        <v>16</v>
      </c>
      <c r="B14" s="22"/>
      <c r="C14" s="4"/>
      <c r="D14" s="4"/>
    </row>
    <row r="15" spans="1:7" ht="21" customHeight="1" x14ac:dyDescent="0.25">
      <c r="A15" s="8" t="s">
        <v>17</v>
      </c>
      <c r="B15" s="23"/>
      <c r="C15" s="23"/>
      <c r="D15" s="4"/>
    </row>
    <row r="16" spans="1:7" ht="60" customHeight="1" x14ac:dyDescent="0.25">
      <c r="A16" s="8" t="s">
        <v>18</v>
      </c>
      <c r="B16" s="9"/>
      <c r="C16" s="9"/>
      <c r="D16" s="4"/>
    </row>
    <row r="17" spans="1:4" ht="30" customHeight="1" x14ac:dyDescent="0.25">
      <c r="A17" s="10" t="s">
        <v>19</v>
      </c>
      <c r="B17" s="16"/>
      <c r="C17" s="16"/>
      <c r="D17" s="17"/>
    </row>
    <row r="18" spans="1:4" ht="21.75" customHeight="1" x14ac:dyDescent="0.25">
      <c r="A18" s="10" t="s">
        <v>20</v>
      </c>
      <c r="B18" s="20"/>
      <c r="C18" s="20"/>
      <c r="D18" s="21"/>
    </row>
    <row r="19" spans="1:4" ht="45.75" customHeight="1" x14ac:dyDescent="0.25">
      <c r="A19" s="8" t="s">
        <v>21</v>
      </c>
      <c r="B19" s="9"/>
      <c r="C19" s="9"/>
      <c r="D19" s="19"/>
    </row>
    <row r="20" spans="1:4" ht="30" customHeight="1" x14ac:dyDescent="0.25">
      <c r="A20" s="8" t="s">
        <v>22</v>
      </c>
      <c r="B20" s="9"/>
      <c r="C20" s="9"/>
      <c r="D20" s="19"/>
    </row>
    <row r="21" spans="1:4" ht="46.5" customHeight="1" x14ac:dyDescent="0.25">
      <c r="A21" s="8" t="s">
        <v>23</v>
      </c>
      <c r="B21" s="55">
        <f>(388912.75/1000)*1.3135+2.05</f>
        <v>512.88689712500002</v>
      </c>
      <c r="C21" s="4">
        <f>B21/$B$39</f>
        <v>114.03241438623802</v>
      </c>
      <c r="D21" s="4">
        <f>C21*$D$41</f>
        <v>67.539688554752985</v>
      </c>
    </row>
    <row r="22" spans="1:4" ht="58.5" customHeight="1" x14ac:dyDescent="0.25">
      <c r="A22" s="8" t="s">
        <v>24</v>
      </c>
      <c r="B22" s="7"/>
      <c r="C22" s="4"/>
      <c r="D22" s="4"/>
    </row>
    <row r="23" spans="1:4" ht="30" customHeight="1" x14ac:dyDescent="0.25">
      <c r="A23" s="8" t="s">
        <v>25</v>
      </c>
      <c r="B23" s="7">
        <f>4389.33/1000+1885.42/1000</f>
        <v>6.27475</v>
      </c>
      <c r="C23" s="4">
        <f>B23/$B$39</f>
        <v>1.3950929457955334</v>
      </c>
      <c r="D23" s="4">
        <f>C23*$D$41</f>
        <v>0.82629262540050741</v>
      </c>
    </row>
    <row r="24" spans="1:4" ht="46.5" customHeight="1" x14ac:dyDescent="0.25">
      <c r="A24" s="11" t="s">
        <v>26</v>
      </c>
      <c r="B24" s="7"/>
      <c r="C24" s="9"/>
      <c r="D24" s="19"/>
    </row>
    <row r="25" spans="1:4" ht="28.5" customHeight="1" x14ac:dyDescent="0.25">
      <c r="A25" s="8" t="s">
        <v>27</v>
      </c>
      <c r="B25" s="7">
        <f>134949.76/1000+51027.37/1000+50908.68/1000</f>
        <v>236.88580999999999</v>
      </c>
      <c r="C25" s="4">
        <f>B25/$B$39</f>
        <v>52.667870829923274</v>
      </c>
      <c r="D25" s="4">
        <f>C25*$D$41</f>
        <v>31.194389874501102</v>
      </c>
    </row>
    <row r="26" spans="1:4" ht="44.25" customHeight="1" x14ac:dyDescent="0.25">
      <c r="A26" s="11" t="s">
        <v>28</v>
      </c>
      <c r="B26" s="7">
        <f>60322.54/1000+18826.66/1000</f>
        <v>79.149200000000008</v>
      </c>
      <c r="C26" s="4">
        <f>B26/$B$39</f>
        <v>17.597592029221858</v>
      </c>
      <c r="D26" s="4">
        <f>C26*$D$41</f>
        <v>10.422789795027667</v>
      </c>
    </row>
    <row r="27" spans="1:4" x14ac:dyDescent="0.25">
      <c r="A27" s="61" t="s">
        <v>29</v>
      </c>
      <c r="B27" s="9">
        <f>394.93/1000</f>
        <v>0.39493</v>
      </c>
      <c r="C27" s="9"/>
      <c r="D27" s="19"/>
    </row>
    <row r="28" spans="1:4" x14ac:dyDescent="0.25">
      <c r="A28" s="61"/>
      <c r="B28" s="57"/>
      <c r="C28" s="58"/>
      <c r="D28" s="59"/>
    </row>
    <row r="29" spans="1:4" ht="77.25" customHeight="1" x14ac:dyDescent="0.25">
      <c r="A29" s="8" t="s">
        <v>58</v>
      </c>
      <c r="B29" s="7"/>
      <c r="C29" s="4">
        <f>B29/$B$39</f>
        <v>0</v>
      </c>
      <c r="D29" s="4">
        <f>C29*$D$41</f>
        <v>0</v>
      </c>
    </row>
    <row r="30" spans="1:4" ht="29.25" customHeight="1" x14ac:dyDescent="0.25">
      <c r="A30" s="6" t="s">
        <v>30</v>
      </c>
      <c r="B30" s="9"/>
      <c r="C30" s="4"/>
      <c r="D30" s="4">
        <v>50.09</v>
      </c>
    </row>
    <row r="31" spans="1:4" ht="28.5" customHeight="1" x14ac:dyDescent="0.25">
      <c r="A31" s="6" t="s">
        <v>31</v>
      </c>
      <c r="B31" s="9"/>
      <c r="C31" s="4"/>
      <c r="D31" s="4">
        <f>D30</f>
        <v>50.09</v>
      </c>
    </row>
    <row r="32" spans="1:4" ht="88.5" customHeight="1" x14ac:dyDescent="0.25">
      <c r="A32" s="8" t="s">
        <v>32</v>
      </c>
      <c r="B32" s="9"/>
      <c r="C32" s="9"/>
      <c r="D32" s="14"/>
    </row>
    <row r="33" spans="1:7" ht="31.5" customHeight="1" x14ac:dyDescent="0.25">
      <c r="A33" s="6" t="s">
        <v>33</v>
      </c>
      <c r="B33" s="9"/>
      <c r="C33" s="9"/>
      <c r="D33" s="14"/>
    </row>
    <row r="34" spans="1:7" ht="31.5" customHeight="1" x14ac:dyDescent="0.25">
      <c r="A34" s="8" t="s">
        <v>34</v>
      </c>
      <c r="B34" s="9"/>
      <c r="C34" s="9"/>
      <c r="D34" s="14"/>
    </row>
    <row r="35" spans="1:7" ht="60" customHeight="1" x14ac:dyDescent="0.25">
      <c r="A35" s="6" t="s">
        <v>59</v>
      </c>
      <c r="B35" s="9"/>
      <c r="C35" s="9"/>
      <c r="D35" s="14"/>
    </row>
    <row r="36" spans="1:7" ht="30.75" customHeight="1" x14ac:dyDescent="0.25">
      <c r="A36" s="6" t="s">
        <v>35</v>
      </c>
      <c r="B36" s="9"/>
      <c r="C36" s="9"/>
      <c r="D36" s="14"/>
    </row>
    <row r="37" spans="1:7" ht="28.5" customHeight="1" x14ac:dyDescent="0.25">
      <c r="A37" s="6" t="s">
        <v>36</v>
      </c>
      <c r="B37" s="9"/>
      <c r="C37" s="9"/>
      <c r="D37" s="14"/>
    </row>
    <row r="38" spans="1:7" ht="30" customHeight="1" x14ac:dyDescent="0.25">
      <c r="A38" s="6" t="s">
        <v>37</v>
      </c>
      <c r="B38" s="9"/>
      <c r="C38" s="9"/>
      <c r="D38" s="14"/>
    </row>
    <row r="39" spans="1:7" ht="29.25" customHeight="1" x14ac:dyDescent="0.25">
      <c r="A39" s="6" t="s">
        <v>38</v>
      </c>
      <c r="B39" s="24">
        <f>4497.729/1000</f>
        <v>4.4977290000000005</v>
      </c>
      <c r="C39" s="9"/>
      <c r="D39" s="14"/>
    </row>
    <row r="40" spans="1:7" ht="30.75" customHeight="1" x14ac:dyDescent="0.25">
      <c r="A40" s="6" t="s">
        <v>39</v>
      </c>
      <c r="B40" s="24"/>
      <c r="C40" s="15"/>
      <c r="D40" s="15"/>
    </row>
    <row r="41" spans="1:7" ht="30.75" customHeight="1" x14ac:dyDescent="0.25">
      <c r="A41" s="6" t="s">
        <v>40</v>
      </c>
      <c r="B41" s="24"/>
      <c r="C41" s="15"/>
      <c r="D41" s="24">
        <f>592.285/1000</f>
        <v>0.59228499999999995</v>
      </c>
    </row>
    <row r="42" spans="1:7" ht="43.5" customHeight="1" x14ac:dyDescent="0.25">
      <c r="A42" s="6" t="s">
        <v>41</v>
      </c>
      <c r="B42" s="15"/>
      <c r="C42" s="15"/>
      <c r="D42" s="15">
        <f>D41</f>
        <v>0.59228499999999995</v>
      </c>
    </row>
    <row r="43" spans="1:7" ht="21.75" customHeight="1" x14ac:dyDescent="0.25">
      <c r="A43" s="8" t="s">
        <v>42</v>
      </c>
      <c r="B43" s="15"/>
      <c r="C43" s="15"/>
      <c r="D43" s="15">
        <f>D42</f>
        <v>0.59228499999999995</v>
      </c>
    </row>
    <row r="44" spans="1:7" ht="33.75" customHeight="1" x14ac:dyDescent="0.25">
      <c r="A44" s="8" t="s">
        <v>43</v>
      </c>
      <c r="B44" s="15"/>
      <c r="C44" s="15"/>
      <c r="D44" s="15"/>
    </row>
    <row r="45" spans="1:7" ht="45.75" customHeight="1" x14ac:dyDescent="0.25">
      <c r="A45" s="6" t="s">
        <v>44</v>
      </c>
      <c r="B45" s="18">
        <v>1.44E-2</v>
      </c>
      <c r="C45" s="3"/>
      <c r="D45" s="18"/>
      <c r="G45">
        <f>64.61/4497.729*100</f>
        <v>1.4365027328236093</v>
      </c>
    </row>
    <row r="46" spans="1:7" ht="45.75" customHeight="1" x14ac:dyDescent="0.25">
      <c r="A46" s="6" t="s">
        <v>45</v>
      </c>
      <c r="B46" s="19">
        <v>0</v>
      </c>
      <c r="C46" s="19"/>
      <c r="D46" s="19">
        <v>0</v>
      </c>
    </row>
    <row r="47" spans="1:7" ht="28.5" customHeight="1" x14ac:dyDescent="0.25">
      <c r="A47" s="6" t="s">
        <v>46</v>
      </c>
      <c r="B47" s="40" t="s">
        <v>73</v>
      </c>
      <c r="C47" s="40"/>
      <c r="D47" s="40" t="s">
        <v>72</v>
      </c>
    </row>
    <row r="48" spans="1:7" ht="30.75" customHeight="1" x14ac:dyDescent="0.25">
      <c r="A48" s="6" t="s">
        <v>47</v>
      </c>
      <c r="B48" s="36">
        <v>0</v>
      </c>
      <c r="C48" s="36"/>
      <c r="D48" s="36">
        <v>0</v>
      </c>
    </row>
    <row r="49" spans="1:4" ht="28.5" customHeight="1" x14ac:dyDescent="0.25">
      <c r="A49" s="6" t="s">
        <v>48</v>
      </c>
      <c r="B49" s="36">
        <v>0</v>
      </c>
      <c r="C49" s="36"/>
      <c r="D49" s="36">
        <v>0</v>
      </c>
    </row>
    <row r="50" spans="1:4" ht="19.5" customHeight="1" x14ac:dyDescent="0.25">
      <c r="A50" s="6" t="s">
        <v>49</v>
      </c>
      <c r="B50" s="36">
        <v>8</v>
      </c>
      <c r="C50" s="36"/>
      <c r="D50" s="36">
        <v>8</v>
      </c>
    </row>
    <row r="51" spans="1:4" ht="46.5" customHeight="1" x14ac:dyDescent="0.25">
      <c r="A51" s="6" t="s">
        <v>50</v>
      </c>
      <c r="B51" s="45">
        <v>2.16</v>
      </c>
      <c r="C51" s="41"/>
      <c r="D51" s="45">
        <v>2.16</v>
      </c>
    </row>
    <row r="52" spans="1:4" ht="43.5" customHeight="1" x14ac:dyDescent="0.25">
      <c r="A52" s="6" t="s">
        <v>51</v>
      </c>
      <c r="B52" s="19">
        <v>0</v>
      </c>
      <c r="C52" s="19"/>
      <c r="D52" s="19">
        <v>0</v>
      </c>
    </row>
    <row r="53" spans="1:4" ht="60.75" customHeight="1" x14ac:dyDescent="0.25">
      <c r="A53" s="6" t="s">
        <v>52</v>
      </c>
      <c r="B53" s="19"/>
      <c r="C53" s="19"/>
      <c r="D53" s="19"/>
    </row>
    <row r="54" spans="1:4" ht="46.5" customHeight="1" x14ac:dyDescent="0.25">
      <c r="A54" s="6" t="s">
        <v>53</v>
      </c>
      <c r="B54" s="19">
        <v>0</v>
      </c>
      <c r="C54" s="19"/>
      <c r="D54" s="19">
        <v>0</v>
      </c>
    </row>
    <row r="55" spans="1:4" x14ac:dyDescent="0.25">
      <c r="A55" s="1"/>
      <c r="B55" s="5"/>
      <c r="C55" s="5"/>
      <c r="D55" s="5"/>
    </row>
    <row r="56" spans="1:4" x14ac:dyDescent="0.25">
      <c r="A56" s="1"/>
      <c r="B56" s="5"/>
      <c r="C56" s="5"/>
      <c r="D56" s="5"/>
    </row>
    <row r="57" spans="1:4" x14ac:dyDescent="0.25">
      <c r="A57" s="60" t="s">
        <v>54</v>
      </c>
      <c r="B57" s="60"/>
      <c r="C57" s="60"/>
      <c r="D57" s="60"/>
    </row>
    <row r="58" spans="1:4" x14ac:dyDescent="0.25">
      <c r="A58" s="62" t="s">
        <v>55</v>
      </c>
      <c r="B58" s="62"/>
      <c r="C58" s="62"/>
      <c r="D58" s="62"/>
    </row>
    <row r="59" spans="1:4" x14ac:dyDescent="0.25">
      <c r="A59" s="60" t="s">
        <v>56</v>
      </c>
      <c r="B59" s="60"/>
      <c r="C59" s="60"/>
      <c r="D59" s="60"/>
    </row>
    <row r="60" spans="1:4" x14ac:dyDescent="0.25">
      <c r="A60" s="60" t="s">
        <v>57</v>
      </c>
      <c r="B60" s="60"/>
      <c r="C60" s="60"/>
      <c r="D60" s="60"/>
    </row>
    <row r="65" spans="1:2" x14ac:dyDescent="0.25">
      <c r="A65" t="s">
        <v>74</v>
      </c>
      <c r="B65" s="44">
        <f>B14+B16+B21+B22+B23+B25+B27+B29</f>
        <v>756.4423871250001</v>
      </c>
    </row>
    <row r="66" spans="1:2" x14ac:dyDescent="0.25">
      <c r="B66" s="44">
        <f>B13-B65</f>
        <v>-1.1871250001149747E-3</v>
      </c>
    </row>
    <row r="69" spans="1:2" x14ac:dyDescent="0.25">
      <c r="B69">
        <f>654505.15+51027.37+50908.68</f>
        <v>756441.20000000007</v>
      </c>
    </row>
  </sheetData>
  <mergeCells count="15">
    <mergeCell ref="A59:D59"/>
    <mergeCell ref="A60:D60"/>
    <mergeCell ref="B7:D7"/>
    <mergeCell ref="A1:D1"/>
    <mergeCell ref="B3:D3"/>
    <mergeCell ref="B4:D4"/>
    <mergeCell ref="B5:D5"/>
    <mergeCell ref="B6:D6"/>
    <mergeCell ref="A9:A10"/>
    <mergeCell ref="B9:D9"/>
    <mergeCell ref="B11:D11"/>
    <mergeCell ref="A27:A28"/>
    <mergeCell ref="B28:D28"/>
    <mergeCell ref="A57:D57"/>
    <mergeCell ref="A58:D58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zoomScaleNormal="100" workbookViewId="0">
      <selection activeCell="B6" sqref="B6:D6"/>
    </sheetView>
  </sheetViews>
  <sheetFormatPr defaultRowHeight="15" x14ac:dyDescent="0.25"/>
  <cols>
    <col min="1" max="1" width="45.42578125" customWidth="1"/>
    <col min="2" max="2" width="20.28515625" style="51" customWidth="1"/>
    <col min="3" max="3" width="20.5703125" customWidth="1"/>
    <col min="4" max="4" width="19.7109375" customWidth="1"/>
    <col min="6" max="6" width="11.7109375" customWidth="1"/>
  </cols>
  <sheetData>
    <row r="1" spans="1:11" ht="30.75" customHeight="1" x14ac:dyDescent="0.25">
      <c r="A1" s="63" t="s">
        <v>69</v>
      </c>
      <c r="B1" s="63"/>
      <c r="C1" s="63"/>
      <c r="D1" s="64"/>
    </row>
    <row r="2" spans="1:11" x14ac:dyDescent="0.25">
      <c r="A2" s="1"/>
      <c r="B2" s="5"/>
      <c r="C2" s="1"/>
      <c r="D2" s="1"/>
    </row>
    <row r="3" spans="1:11" x14ac:dyDescent="0.25">
      <c r="A3" s="2" t="s">
        <v>0</v>
      </c>
      <c r="B3" s="73" t="s">
        <v>1</v>
      </c>
      <c r="C3" s="74"/>
      <c r="D3" s="75"/>
    </row>
    <row r="4" spans="1:11" x14ac:dyDescent="0.25">
      <c r="A4" s="2" t="s">
        <v>2</v>
      </c>
      <c r="B4" s="73">
        <v>1101141183</v>
      </c>
      <c r="C4" s="74"/>
      <c r="D4" s="75"/>
    </row>
    <row r="5" spans="1:11" x14ac:dyDescent="0.25">
      <c r="A5" s="2" t="s">
        <v>3</v>
      </c>
      <c r="B5" s="73" t="s">
        <v>70</v>
      </c>
      <c r="C5" s="74"/>
      <c r="D5" s="75"/>
    </row>
    <row r="6" spans="1:11" x14ac:dyDescent="0.25">
      <c r="A6" s="2" t="s">
        <v>4</v>
      </c>
      <c r="B6" s="73" t="s">
        <v>80</v>
      </c>
      <c r="C6" s="74"/>
      <c r="D6" s="75"/>
    </row>
    <row r="7" spans="1:11" x14ac:dyDescent="0.25">
      <c r="A7" s="2" t="s">
        <v>6</v>
      </c>
      <c r="B7" s="73" t="s">
        <v>78</v>
      </c>
      <c r="C7" s="74"/>
      <c r="D7" s="75"/>
    </row>
    <row r="8" spans="1:11" x14ac:dyDescent="0.25">
      <c r="A8" s="1"/>
      <c r="B8" s="5"/>
      <c r="C8" s="1"/>
      <c r="D8" s="1"/>
    </row>
    <row r="9" spans="1:11" x14ac:dyDescent="0.25">
      <c r="A9" s="79" t="s">
        <v>7</v>
      </c>
      <c r="B9" s="81" t="s">
        <v>62</v>
      </c>
      <c r="C9" s="81"/>
      <c r="D9" s="81"/>
    </row>
    <row r="10" spans="1:11" x14ac:dyDescent="0.25">
      <c r="A10" s="80"/>
      <c r="B10" s="3" t="s">
        <v>9</v>
      </c>
      <c r="C10" s="3" t="s">
        <v>10</v>
      </c>
      <c r="D10" s="3" t="s">
        <v>11</v>
      </c>
    </row>
    <row r="11" spans="1:11" ht="45" x14ac:dyDescent="0.25">
      <c r="A11" s="6" t="s">
        <v>12</v>
      </c>
      <c r="B11" s="82" t="s">
        <v>63</v>
      </c>
      <c r="C11" s="82"/>
      <c r="D11" s="82"/>
    </row>
    <row r="12" spans="1:11" x14ac:dyDescent="0.25">
      <c r="A12" s="6" t="s">
        <v>14</v>
      </c>
      <c r="B12" s="12"/>
      <c r="C12" s="6"/>
      <c r="D12" s="25">
        <f>3190221.94/1000</f>
        <v>3190.2219399999999</v>
      </c>
    </row>
    <row r="13" spans="1:11" ht="60" x14ac:dyDescent="0.25">
      <c r="A13" s="6" t="s">
        <v>64</v>
      </c>
      <c r="B13" s="4">
        <f>11432.79301+481.71255</f>
        <v>11914.50556</v>
      </c>
      <c r="C13" s="4">
        <f>B13/($B$40*(1-$B$47))</f>
        <v>2363.9585935916207</v>
      </c>
      <c r="D13" s="26">
        <f>C13*($D$42*(1+D47))</f>
        <v>3267.4346095695669</v>
      </c>
      <c r="F13" s="44">
        <f>D12-D13</f>
        <v>-77.21266956956697</v>
      </c>
      <c r="G13">
        <f>F13/D13</f>
        <v>-2.3630976223190134E-2</v>
      </c>
      <c r="K13" s="53"/>
    </row>
    <row r="14" spans="1:11" ht="30" x14ac:dyDescent="0.25">
      <c r="A14" s="8" t="s">
        <v>16</v>
      </c>
      <c r="B14" s="3"/>
      <c r="C14" s="27"/>
      <c r="D14" s="28"/>
    </row>
    <row r="15" spans="1:11" x14ac:dyDescent="0.25">
      <c r="A15" s="8" t="s">
        <v>75</v>
      </c>
      <c r="B15" s="4">
        <f>2912480.36/1000</f>
        <v>2912.48036</v>
      </c>
      <c r="C15" s="4">
        <f t="shared" ref="C15:C21" si="0">B15/($B$40*(1-$B$47))</f>
        <v>577.86560600579526</v>
      </c>
      <c r="D15" s="26">
        <f t="shared" ref="D15:D21" si="1">C15*($D$42*(1+D49))</f>
        <v>2989.5873312796821</v>
      </c>
    </row>
    <row r="16" spans="1:11" x14ac:dyDescent="0.25">
      <c r="A16" s="8" t="s">
        <v>76</v>
      </c>
      <c r="B16" s="4">
        <v>573.04300000000001</v>
      </c>
      <c r="C16" s="4">
        <f t="shared" si="0"/>
        <v>113.69753595947989</v>
      </c>
      <c r="D16" s="26">
        <f t="shared" si="1"/>
        <v>133.74582247521499</v>
      </c>
    </row>
    <row r="17" spans="1:4" x14ac:dyDescent="0.25">
      <c r="A17" s="8" t="s">
        <v>77</v>
      </c>
      <c r="B17" s="4">
        <f>B15/B16</f>
        <v>5.0824813495671357</v>
      </c>
      <c r="C17" s="4">
        <f t="shared" si="0"/>
        <v>1.0084157838169132</v>
      </c>
      <c r="D17" s="26">
        <f t="shared" si="1"/>
        <v>2.372459477954699</v>
      </c>
    </row>
    <row r="18" spans="1:4" ht="43.5" customHeight="1" x14ac:dyDescent="0.25">
      <c r="A18" s="8" t="s">
        <v>18</v>
      </c>
      <c r="B18" s="4">
        <f>837929.78/1000</f>
        <v>837.92978000000005</v>
      </c>
      <c r="C18" s="4">
        <f t="shared" si="0"/>
        <v>166.25375633777759</v>
      </c>
      <c r="D18" s="26">
        <f t="shared" si="1"/>
        <v>782.2771247712717</v>
      </c>
    </row>
    <row r="19" spans="1:4" x14ac:dyDescent="0.25">
      <c r="A19" s="10" t="s">
        <v>19</v>
      </c>
      <c r="B19" s="29">
        <f>B18/B20</f>
        <v>5.201763905796728</v>
      </c>
      <c r="C19" s="4">
        <f t="shared" si="0"/>
        <v>1.0320826512705819</v>
      </c>
      <c r="D19" s="26">
        <f t="shared" si="1"/>
        <v>12.383511808725061</v>
      </c>
    </row>
    <row r="20" spans="1:4" x14ac:dyDescent="0.25">
      <c r="A20" s="10" t="s">
        <v>20</v>
      </c>
      <c r="B20" s="29">
        <f>161085.7/1000</f>
        <v>161.0857</v>
      </c>
      <c r="C20" s="4">
        <f t="shared" si="0"/>
        <v>31.961034631446491</v>
      </c>
      <c r="D20" s="26">
        <f t="shared" si="1"/>
        <v>37.596723868009455</v>
      </c>
    </row>
    <row r="21" spans="1:4" ht="28.5" customHeight="1" x14ac:dyDescent="0.25">
      <c r="A21" s="8" t="s">
        <v>21</v>
      </c>
      <c r="B21" s="4">
        <f>12143.65/1000</f>
        <v>12.143649999999999</v>
      </c>
      <c r="C21" s="4">
        <f t="shared" si="0"/>
        <v>2.409423171654375</v>
      </c>
      <c r="D21" s="26">
        <f t="shared" si="1"/>
        <v>2.8342767595121914</v>
      </c>
    </row>
    <row r="22" spans="1:4" ht="30" x14ac:dyDescent="0.25">
      <c r="A22" s="8" t="s">
        <v>22</v>
      </c>
      <c r="B22" s="3"/>
      <c r="C22" s="27"/>
      <c r="D22" s="28"/>
    </row>
    <row r="23" spans="1:4" ht="45" x14ac:dyDescent="0.25">
      <c r="A23" s="8" t="s">
        <v>23</v>
      </c>
      <c r="B23" s="4">
        <f>(2292290.77+554969.78)/1000*1.3135+0.124</f>
        <v>3740.0007324249996</v>
      </c>
      <c r="C23" s="4">
        <f>B23/($B$40*(1-$B$47))</f>
        <v>742.05403043641149</v>
      </c>
      <c r="D23" s="26">
        <f>C23*($D$42*(1+D57))</f>
        <v>872.90041762326405</v>
      </c>
    </row>
    <row r="24" spans="1:4" ht="60" x14ac:dyDescent="0.25">
      <c r="A24" s="8" t="s">
        <v>24</v>
      </c>
      <c r="B24" s="4">
        <f>1437063.9/1000</f>
        <v>1437.0638999999999</v>
      </c>
      <c r="C24" s="4">
        <f>B24/($B$40*(1-$B$47))</f>
        <v>285.12803480073995</v>
      </c>
      <c r="D24" s="26">
        <f>C24*($D$42*(1+D58))</f>
        <v>335.40466117715448</v>
      </c>
    </row>
    <row r="25" spans="1:4" ht="30" x14ac:dyDescent="0.25">
      <c r="A25" s="8" t="s">
        <v>25</v>
      </c>
      <c r="B25" s="4">
        <f>B26+364697.04/1000+88252.03/1000+52181.3/1000+15826.25/1000+299.27/1000+800/1000+13996.13/1000</f>
        <v>1227.0537129099998</v>
      </c>
      <c r="C25" s="4">
        <f>B25/($B$40*(1-$B$47))</f>
        <v>243.45988633976512</v>
      </c>
      <c r="D25" s="26">
        <f>C25*($D$42*(1+D59))</f>
        <v>286.3891680980559</v>
      </c>
    </row>
    <row r="26" spans="1:4" ht="30" x14ac:dyDescent="0.25">
      <c r="A26" s="11" t="s">
        <v>26</v>
      </c>
      <c r="B26" s="47">
        <f>(428173.73+97902.93)/1000*1.3135</f>
        <v>691.00169290999986</v>
      </c>
      <c r="C26" s="30"/>
      <c r="D26" s="25"/>
    </row>
    <row r="27" spans="1:4" ht="30" x14ac:dyDescent="0.25">
      <c r="A27" s="8" t="s">
        <v>27</v>
      </c>
      <c r="B27" s="4">
        <f>(1208146.75+481712.55)/1000</f>
        <v>1689.8593000000001</v>
      </c>
      <c r="C27" s="4">
        <f>B27/($B$40*(1-$B$47))</f>
        <v>335.28520290486324</v>
      </c>
      <c r="D27" s="26">
        <f>C27*($D$42*(1+D61))</f>
        <v>394.40604273307781</v>
      </c>
    </row>
    <row r="28" spans="1:4" ht="30" x14ac:dyDescent="0.25">
      <c r="A28" s="11" t="s">
        <v>28</v>
      </c>
      <c r="B28" s="4">
        <f>(640235.79+199817.59+314558.3+98173.65)/1000</f>
        <v>1252.7853299999999</v>
      </c>
      <c r="C28" s="4">
        <f>B28/($B$40*(1-$B$47))</f>
        <v>248.56529982424334</v>
      </c>
      <c r="D28" s="26">
        <f>C28*($D$42*(1+D62))</f>
        <v>292.39481914225217</v>
      </c>
    </row>
    <row r="29" spans="1:4" x14ac:dyDescent="0.25">
      <c r="A29" s="61" t="s">
        <v>29</v>
      </c>
      <c r="B29" s="4">
        <f>23885.73/1000</f>
        <v>23.885729999999999</v>
      </c>
      <c r="C29" s="4">
        <f>B29/($B$40*(1-$B$47))</f>
        <v>4.7391707875210543</v>
      </c>
      <c r="D29" s="26">
        <f>C29*($D$42*(1+D63))</f>
        <v>5.5748287724846426</v>
      </c>
    </row>
    <row r="30" spans="1:4" ht="67.5" customHeight="1" x14ac:dyDescent="0.25">
      <c r="A30" s="61"/>
      <c r="B30" s="83"/>
      <c r="C30" s="84"/>
      <c r="D30" s="85"/>
    </row>
    <row r="31" spans="1:4" ht="77.25" x14ac:dyDescent="0.25">
      <c r="A31" s="8" t="s">
        <v>58</v>
      </c>
      <c r="B31" s="4">
        <f>(27508.51+6579.88)/1000</f>
        <v>34.088389999999997</v>
      </c>
      <c r="C31" s="4">
        <f>B31/($B$40*(1-$B$47))</f>
        <v>6.7634818815093709</v>
      </c>
      <c r="D31" s="26">
        <f>C31*($D$42*(1+D65))</f>
        <v>7.9560866416759186</v>
      </c>
    </row>
    <row r="32" spans="1:4" ht="30" x14ac:dyDescent="0.25">
      <c r="A32" s="6" t="s">
        <v>30</v>
      </c>
      <c r="B32" s="3"/>
      <c r="C32" s="4"/>
      <c r="D32" s="31">
        <v>-77.209999999999994</v>
      </c>
    </row>
    <row r="33" spans="1:4" x14ac:dyDescent="0.25">
      <c r="A33" s="6" t="s">
        <v>31</v>
      </c>
      <c r="B33" s="3"/>
      <c r="C33" s="4"/>
      <c r="D33" s="31">
        <f>D32</f>
        <v>-77.209999999999994</v>
      </c>
    </row>
    <row r="34" spans="1:4" ht="90" x14ac:dyDescent="0.25">
      <c r="A34" s="8" t="s">
        <v>32</v>
      </c>
      <c r="B34" s="3"/>
      <c r="C34" s="27"/>
      <c r="D34" s="31"/>
    </row>
    <row r="35" spans="1:4" ht="30" x14ac:dyDescent="0.25">
      <c r="A35" s="6" t="s">
        <v>33</v>
      </c>
      <c r="B35" s="3"/>
      <c r="C35" s="27"/>
      <c r="D35" s="31"/>
    </row>
    <row r="36" spans="1:4" ht="30" x14ac:dyDescent="0.25">
      <c r="A36" s="8" t="s">
        <v>34</v>
      </c>
      <c r="B36" s="3"/>
      <c r="C36" s="27"/>
      <c r="D36" s="31"/>
    </row>
    <row r="37" spans="1:4" ht="45" x14ac:dyDescent="0.25">
      <c r="A37" s="6" t="s">
        <v>59</v>
      </c>
      <c r="B37" s="3"/>
      <c r="C37" s="27"/>
      <c r="D37" s="31"/>
    </row>
    <row r="38" spans="1:4" x14ac:dyDescent="0.25">
      <c r="A38" s="6" t="s">
        <v>35</v>
      </c>
      <c r="B38" s="3"/>
      <c r="C38" s="27"/>
      <c r="D38" s="31"/>
    </row>
    <row r="39" spans="1:4" x14ac:dyDescent="0.25">
      <c r="A39" s="6" t="s">
        <v>36</v>
      </c>
      <c r="B39" s="3"/>
      <c r="C39" s="27"/>
      <c r="D39" s="31"/>
    </row>
    <row r="40" spans="1:4" ht="30" x14ac:dyDescent="0.25">
      <c r="A40" s="6" t="s">
        <v>37</v>
      </c>
      <c r="B40" s="29">
        <v>6.1091699999999998</v>
      </c>
      <c r="C40" s="27"/>
      <c r="D40" s="32"/>
    </row>
    <row r="41" spans="1:4" ht="30" x14ac:dyDescent="0.25">
      <c r="A41" s="6" t="s">
        <v>39</v>
      </c>
      <c r="B41" s="3"/>
      <c r="C41" s="27"/>
      <c r="D41" s="28"/>
    </row>
    <row r="42" spans="1:4" ht="30" x14ac:dyDescent="0.25">
      <c r="A42" s="6" t="s">
        <v>41</v>
      </c>
      <c r="B42" s="29"/>
      <c r="C42" s="27"/>
      <c r="D42" s="29">
        <v>1.1763300000000001</v>
      </c>
    </row>
    <row r="43" spans="1:4" x14ac:dyDescent="0.25">
      <c r="A43" s="6" t="s">
        <v>65</v>
      </c>
      <c r="B43" s="28">
        <v>3.8637299999999999</v>
      </c>
      <c r="C43" s="27"/>
      <c r="D43" s="32"/>
    </row>
    <row r="44" spans="1:4" ht="45" x14ac:dyDescent="0.25">
      <c r="A44" s="6" t="s">
        <v>66</v>
      </c>
      <c r="B44" s="48"/>
      <c r="C44" s="27"/>
      <c r="D44" s="29">
        <f>D42</f>
        <v>1.1763300000000001</v>
      </c>
    </row>
    <row r="45" spans="1:4" x14ac:dyDescent="0.25">
      <c r="A45" s="8" t="s">
        <v>42</v>
      </c>
      <c r="B45" s="48"/>
      <c r="C45" s="27"/>
      <c r="D45" s="28">
        <f>D44</f>
        <v>1.1763300000000001</v>
      </c>
    </row>
    <row r="46" spans="1:4" x14ac:dyDescent="0.25">
      <c r="A46" s="8" t="s">
        <v>43</v>
      </c>
      <c r="B46" s="3"/>
      <c r="C46" s="27"/>
      <c r="D46" s="29"/>
    </row>
    <row r="47" spans="1:4" ht="29.25" customHeight="1" x14ac:dyDescent="0.25">
      <c r="A47" s="6" t="s">
        <v>44</v>
      </c>
      <c r="B47" s="49">
        <v>0.17499999999999999</v>
      </c>
      <c r="C47" s="33"/>
      <c r="D47" s="34">
        <f>B47</f>
        <v>0.17499999999999999</v>
      </c>
    </row>
    <row r="48" spans="1:4" ht="45" x14ac:dyDescent="0.25">
      <c r="A48" s="6" t="s">
        <v>45</v>
      </c>
      <c r="B48" s="76" t="s">
        <v>67</v>
      </c>
      <c r="C48" s="77"/>
      <c r="D48" s="78"/>
    </row>
    <row r="49" spans="1:4" ht="30" x14ac:dyDescent="0.25">
      <c r="A49" s="6" t="s">
        <v>46</v>
      </c>
      <c r="B49" s="50">
        <v>3.3980000000000001</v>
      </c>
      <c r="C49" s="33"/>
      <c r="D49" s="35">
        <v>3.3980000000000001</v>
      </c>
    </row>
    <row r="50" spans="1:4" x14ac:dyDescent="0.25">
      <c r="A50" s="6" t="s">
        <v>47</v>
      </c>
      <c r="B50" s="42"/>
      <c r="C50" s="33"/>
      <c r="D50" s="36"/>
    </row>
    <row r="51" spans="1:4" ht="30" x14ac:dyDescent="0.25">
      <c r="A51" s="6" t="s">
        <v>48</v>
      </c>
      <c r="B51" s="42">
        <v>1</v>
      </c>
      <c r="C51" s="33"/>
      <c r="D51" s="36">
        <v>1</v>
      </c>
    </row>
    <row r="52" spans="1:4" ht="30" x14ac:dyDescent="0.25">
      <c r="A52" s="6" t="s">
        <v>68</v>
      </c>
      <c r="B52" s="42">
        <v>3</v>
      </c>
      <c r="C52" s="33"/>
      <c r="D52" s="36">
        <v>3</v>
      </c>
    </row>
    <row r="53" spans="1:4" ht="30" x14ac:dyDescent="0.25">
      <c r="A53" s="6" t="s">
        <v>50</v>
      </c>
      <c r="B53" s="43">
        <v>9.1999999999999993</v>
      </c>
      <c r="C53" s="33"/>
      <c r="D53" s="35">
        <v>9.1999999999999993</v>
      </c>
    </row>
    <row r="54" spans="1:4" ht="45" x14ac:dyDescent="0.25">
      <c r="A54" s="6" t="s">
        <v>51</v>
      </c>
      <c r="B54" s="37"/>
      <c r="C54" s="38"/>
      <c r="D54" s="39"/>
    </row>
    <row r="55" spans="1:4" ht="45" x14ac:dyDescent="0.25">
      <c r="A55" s="6" t="s">
        <v>52</v>
      </c>
      <c r="B55" s="3"/>
      <c r="C55" s="27"/>
      <c r="D55" s="29"/>
    </row>
    <row r="56" spans="1:4" ht="45" x14ac:dyDescent="0.25">
      <c r="A56" s="6" t="s">
        <v>53</v>
      </c>
      <c r="B56" s="3"/>
      <c r="C56" s="27"/>
      <c r="D56" s="29"/>
    </row>
    <row r="57" spans="1:4" x14ac:dyDescent="0.25">
      <c r="A57" s="1"/>
      <c r="B57" s="5"/>
      <c r="C57" s="1"/>
      <c r="D57" s="1"/>
    </row>
    <row r="58" spans="1:4" x14ac:dyDescent="0.25">
      <c r="A58" s="1"/>
      <c r="B58" s="5"/>
      <c r="C58" s="1"/>
      <c r="D58" s="1"/>
    </row>
    <row r="59" spans="1:4" x14ac:dyDescent="0.25">
      <c r="A59" s="60" t="s">
        <v>54</v>
      </c>
      <c r="B59" s="60"/>
      <c r="C59" s="60"/>
      <c r="D59" s="60"/>
    </row>
    <row r="60" spans="1:4" x14ac:dyDescent="0.25">
      <c r="A60" s="62" t="s">
        <v>55</v>
      </c>
      <c r="B60" s="62"/>
      <c r="C60" s="62"/>
      <c r="D60" s="62"/>
    </row>
    <row r="61" spans="1:4" x14ac:dyDescent="0.25">
      <c r="A61" s="60" t="s">
        <v>56</v>
      </c>
      <c r="B61" s="60"/>
      <c r="C61" s="60"/>
      <c r="D61" s="60"/>
    </row>
    <row r="62" spans="1:4" x14ac:dyDescent="0.25">
      <c r="A62" s="60" t="s">
        <v>57</v>
      </c>
      <c r="B62" s="60"/>
      <c r="C62" s="60"/>
      <c r="D62" s="60"/>
    </row>
    <row r="63" spans="1:4" x14ac:dyDescent="0.25">
      <c r="A63" s="1"/>
      <c r="B63" s="5"/>
      <c r="C63" s="1"/>
      <c r="D63" s="1"/>
    </row>
    <row r="67" spans="1:2" x14ac:dyDescent="0.25">
      <c r="A67" t="s">
        <v>74</v>
      </c>
      <c r="B67" s="52">
        <f>B14+B18+B23+B24+B25+B27+B29+B31+B15+B21</f>
        <v>11914.505555334999</v>
      </c>
    </row>
    <row r="68" spans="1:2" x14ac:dyDescent="0.25">
      <c r="B68" s="52">
        <f>B13-B67</f>
        <v>4.6650002332171425E-6</v>
      </c>
    </row>
    <row r="71" spans="1:2" x14ac:dyDescent="0.25">
      <c r="B71" s="52">
        <f>B15+B18+B21+B23+B24+B25+B27+B29+B31</f>
        <v>11914.505555334999</v>
      </c>
    </row>
    <row r="74" spans="1:2" x14ac:dyDescent="0.25">
      <c r="B74" s="52">
        <f>B71-B67</f>
        <v>0</v>
      </c>
    </row>
    <row r="78" spans="1:2" x14ac:dyDescent="0.25">
      <c r="B78" s="51">
        <v>11914505.560000001</v>
      </c>
    </row>
    <row r="79" spans="1:2" x14ac:dyDescent="0.25">
      <c r="B79" s="51">
        <f>11432793.01+481712.55</f>
        <v>11914505.560000001</v>
      </c>
    </row>
  </sheetData>
  <mergeCells count="16">
    <mergeCell ref="A59:D59"/>
    <mergeCell ref="A60:D60"/>
    <mergeCell ref="A61:D61"/>
    <mergeCell ref="A62:D62"/>
    <mergeCell ref="B48:D48"/>
    <mergeCell ref="A9:A10"/>
    <mergeCell ref="B9:D9"/>
    <mergeCell ref="B11:D11"/>
    <mergeCell ref="A29:A30"/>
    <mergeCell ref="B30:D30"/>
    <mergeCell ref="B7:D7"/>
    <mergeCell ref="A1:D1"/>
    <mergeCell ref="B3:D3"/>
    <mergeCell ref="B4:D4"/>
    <mergeCell ref="B5:D5"/>
    <mergeCell ref="B6:D6"/>
  </mergeCells>
  <phoneticPr fontId="0" type="noConversion"/>
  <pageMargins left="0.7" right="0.7" top="0.75" bottom="0.75" header="0.3" footer="0.3"/>
  <pageSetup paperSize="9" scale="82" orientation="portrait" verticalDpi="0" r:id="rId1"/>
  <colBreaks count="1" manualBreakCount="1">
    <brk id="4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Сыктывкар</vt:lpstr>
      <vt:lpstr>Ухта</vt:lpstr>
      <vt:lpstr>Усинск</vt:lpstr>
      <vt:lpstr>Усинск!Область_печати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ws-aigul</dc:creator>
  <cp:lastModifiedBy>Костин А.Н.</cp:lastModifiedBy>
  <cp:lastPrinted>2020-04-27T12:32:40Z</cp:lastPrinted>
  <dcterms:created xsi:type="dcterms:W3CDTF">2018-04-28T10:13:15Z</dcterms:created>
  <dcterms:modified xsi:type="dcterms:W3CDTF">2020-05-25T05:08:35Z</dcterms:modified>
</cp:coreProperties>
</file>